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KUL.SISE\kulm\users$\marie.anett.heinsalu\Downloads\"/>
    </mc:Choice>
  </mc:AlternateContent>
  <xr:revisionPtr revIDLastSave="0" documentId="13_ncr:1_{82F00995-89E9-4996-97BC-6243C79D75A9}" xr6:coauthVersionLast="47" xr6:coauthVersionMax="47" xr10:uidLastSave="{00000000-0000-0000-0000-000000000000}"/>
  <bookViews>
    <workbookView xWindow="30" yWindow="780" windowWidth="28770" windowHeight="15300" xr2:uid="{DDE9394C-F54C-4DCE-A62C-3EC3097BB203}"/>
  </bookViews>
  <sheets>
    <sheet name="Kuressaare Teater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4" i="4" l="1"/>
  <c r="J49" i="4"/>
  <c r="I46" i="4" l="1"/>
  <c r="I23" i="4" l="1"/>
  <c r="F23" i="4"/>
  <c r="G23" i="4"/>
  <c r="G25" i="4" s="1"/>
  <c r="H23" i="4"/>
  <c r="K23" i="4"/>
  <c r="L23" i="4"/>
  <c r="M23" i="4"/>
  <c r="M25" i="4" s="1"/>
  <c r="E23" i="4"/>
  <c r="F25" i="4"/>
  <c r="H25" i="4"/>
  <c r="H46" i="4" s="1"/>
  <c r="K25" i="4"/>
  <c r="L25" i="4"/>
  <c r="E25" i="4"/>
  <c r="I49" i="4" l="1"/>
  <c r="H49" i="4"/>
  <c r="G49" i="4"/>
  <c r="F49" i="4"/>
  <c r="E49" i="4"/>
  <c r="I48" i="4"/>
  <c r="H48" i="4"/>
  <c r="G48" i="4"/>
  <c r="F48" i="4"/>
  <c r="E48" i="4"/>
  <c r="I47" i="4"/>
  <c r="I43" i="4"/>
  <c r="H43" i="4"/>
  <c r="G43" i="4"/>
  <c r="F43" i="4"/>
  <c r="E43" i="4"/>
  <c r="I42" i="4"/>
  <c r="H42" i="4"/>
  <c r="G42" i="4"/>
  <c r="F42" i="4"/>
  <c r="E42" i="4"/>
  <c r="G47" i="4"/>
  <c r="F47" i="4"/>
  <c r="E47" i="4"/>
  <c r="H47" i="4" l="1"/>
  <c r="E46" i="4"/>
  <c r="F46" i="4"/>
  <c r="G4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tc={3CFE8E6C-EB24-47A9-96D2-02164099E52E}</author>
    <author>tc={4B67B75C-D2E8-4DC4-941F-064DAA0271E5}</author>
    <author>tc={EBA1C96F-9E6D-46F9-945D-9D390AA6CC43}</author>
    <author>tc={A6C4ABAE-6BC1-4BFA-A2C1-5FED230106D6}</author>
    <author>tc={A26AAB90-1E58-4177-8C7F-AA94EBDAE832}</author>
    <author>tc={12CEE28D-4167-480A-8D97-033593C22E18}</author>
    <author>tc={159ADABB-AE9C-472A-9992-03DE2B1E0F5E}</author>
    <author>tc={7A6A8FD1-E4C2-4684-9B3C-98E523D5EF3B}</author>
    <author>tc={F791305E-998C-43F3-B55B-453A60517157}</author>
    <author>tc={E2687932-7A2C-4673-9422-F5B45FD02459}</author>
    <author>tc={A4F1AB2B-BEFC-4285-AF6D-5C7335A89ED0}</author>
    <author>tc={635A1896-4F06-4ED0-B249-64E313349AC9}</author>
  </authors>
  <commentList>
    <comment ref="F1" authorId="0" shapeId="0" xr:uid="{3CFE8E6C-EB24-47A9-96D2-02164099E52E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Piirangutega aasta.</t>
      </text>
    </comment>
    <comment ref="G1" authorId="1" shapeId="0" xr:uid="{4B67B75C-D2E8-4DC4-941F-064DAA0271E5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Piirangutega aasta.</t>
      </text>
    </comment>
    <comment ref="C10" authorId="2" shapeId="0" xr:uid="{EBA1C96F-9E6D-46F9-945D-9D390AA6CC43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algupärand on kõik Eesti autorite loodud materjalid, mida lavastuste aluseks kasutatakse (dramatiseering, näidend, koreograafia, filmistsenaarium jne)</t>
      </text>
    </comment>
    <comment ref="C12" authorId="3" shapeId="0" xr:uid="{A6C4ABAE-6BC1-4BFA-A2C1-5FED230106D6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Oluline on geograafiline mitmekesisus.</t>
      </text>
    </comment>
    <comment ref="K19" authorId="4" shapeId="0" xr:uid="{A26AAB90-1E58-4177-8C7F-AA94EBDAE832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Osakaalud sihtgruppide lõikes arutelukoht.</t>
      </text>
    </comment>
    <comment ref="D31" authorId="5" shapeId="0" xr:uid="{12CEE28D-4167-480A-8D97-033593C22E18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Kasutame RKAS-e hindamisskaalat, etendusasutuse enesehindamine selle põhjal.</t>
      </text>
    </comment>
    <comment ref="B32" authorId="6" shapeId="0" xr:uid="{159ADABB-AE9C-472A-9992-03DE2B1E0F5E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Tulemusindikaatorid (panustavad „Kultuuri arengukava 2021–2030“ alaeesmärgi mõõdikusse „Eesti kultuurikorralduse keskkonnamõju“).</t>
      </text>
    </comment>
    <comment ref="C40" authorId="7" shapeId="0" xr:uid="{7A6A8FD1-E4C2-4684-9B3C-98E523D5EF3B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vt ligipääsetavuse koolitusmaterjale: https://kul.ee/ligipaasetavuse-edendamine-kultuuris-ja-spordis</t>
      </text>
    </comment>
    <comment ref="G44" authorId="8" shapeId="0" xr:uid="{F791305E-998C-43F3-B55B-453A60517157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Piirangutega aasta anomaalia.</t>
      </text>
    </comment>
    <comment ref="C51" authorId="9" shapeId="0" xr:uid="{E2687932-7A2C-4673-9422-F5B45FD02459}">
      <text>
        <t xml:space="preserve">[Lõimkommentaar]
Teie Exceli versioon võimaldab teil seda lõimkommentaari lugeda, ent kõik sellesse tehtud muudatused eemaldatakse, kui fail avatakse Exceli uuemas versioonis. Lisateavet leiate siit: https://go.microsoft.com/fwlink/?linkid=870924.
Kommentaar:
    RVS § 87 kohaselt on siseaudit kohustuslik kui tulu või bilansimaht suurem kui 2,0 mln EUR. Vabatahtlik on läbi viia kvaliteedialaseid sisemisi hindamisi, aluseks Rahandusministeeriumi soovituslikud mudelid. </t>
      </text>
    </comment>
    <comment ref="D51" authorId="10" shapeId="0" xr:uid="{A4F1AB2B-BEFC-4285-AF6D-5C7335A89ED0}">
      <text>
        <t xml:space="preserve">[Lõimkommentaar]
Teie Exceli versioon võimaldab teil seda lõimkommentaari lugeda, ent kõik sellesse tehtud muudatused eemaldatakse, kui fail avatakse Exceli uuemas versioonis. Lisateavet leiate siit: https://go.microsoft.com/fwlink/?linkid=870924.
Kommentaar:
    Otsustamise koht, millist hindamissüsteemi rakendada, vastavalt teatri mahtudele ning varasemalt tehtud hindamistele. </t>
      </text>
    </comment>
    <comment ref="C54" authorId="11" shapeId="0" xr:uid="{635A1896-4F06-4ED0-B249-64E313349AC9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Metoodika olemas, anonüümne küsimustik, jagatakse KUM-i poolt kõigi nõukogu liikmetega.</t>
      </text>
    </comment>
  </commentList>
</comments>
</file>

<file path=xl/sharedStrings.xml><?xml version="1.0" encoding="utf-8"?>
<sst xmlns="http://schemas.openxmlformats.org/spreadsheetml/2006/main" count="248" uniqueCount="113">
  <si>
    <t>Jrk nr</t>
  </si>
  <si>
    <t>Eesmärgid</t>
  </si>
  <si>
    <t>Tulemusindikaatorid</t>
  </si>
  <si>
    <t>Allikas / metoodika</t>
  </si>
  <si>
    <t>STRATEEGILISED VALDKONDLIKUD EESMÄRGID</t>
  </si>
  <si>
    <t>VÕTMEINDIKAATORID</t>
  </si>
  <si>
    <t>Külastajate rahulolu</t>
  </si>
  <si>
    <t>Saalide keskmine täituvus lavastuste lõikes</t>
  </si>
  <si>
    <t>Töötajate rahulolu</t>
  </si>
  <si>
    <t xml:space="preserve">Organisatsiooni rahulolu uuring kord kolme aasta jooksul. Taandatuna 100%-le. Kasutatakse 5-pallilist skaalat. </t>
  </si>
  <si>
    <t>Etenduste arv aastas</t>
  </si>
  <si>
    <t>Eesti Teatri Agentuuri statistika</t>
  </si>
  <si>
    <t>Uuslavastuste arv aastas</t>
  </si>
  <si>
    <t>Eesti algupäranditel põhinevate lavastuste arv uuslavastustest</t>
  </si>
  <si>
    <t>Teatri andmed</t>
  </si>
  <si>
    <t>Eri riikidest pärit algupärandite arv</t>
  </si>
  <si>
    <t>Erinevatele vanuserühmadele antud etenduste arv</t>
  </si>
  <si>
    <t>Väikelapsed kuni 5a</t>
  </si>
  <si>
    <t>Lapsed 6-11a</t>
  </si>
  <si>
    <t>Täiskasvanud 21-a</t>
  </si>
  <si>
    <t>Kokku</t>
  </si>
  <si>
    <t>Võõrustatud külalisetenduste arv</t>
  </si>
  <si>
    <t>Säilitada ja arendada sihtasutusele kuuluvat kinnisvara ja vallasvara</t>
  </si>
  <si>
    <t>Korrasoleva kinnisvara osakaal kogukinnisvarast</t>
  </si>
  <si>
    <t>Teatri andmed / protsentides</t>
  </si>
  <si>
    <t>Vähendada etendusasutuse keskkonnajalajälge</t>
  </si>
  <si>
    <t>Elektri- ja soojusenergia kasutus aastas</t>
  </si>
  <si>
    <t>Teatri andmed / MWh aastas:</t>
  </si>
  <si>
    <t>Vee kasutus aastas</t>
  </si>
  <si>
    <t>Teatri andmed/ m3 aastas:</t>
  </si>
  <si>
    <t xml:space="preserve"> Jäätmete liigiti kogumine</t>
  </si>
  <si>
    <t>Teatri andmed / sorteerimine jah/ ei</t>
  </si>
  <si>
    <t>Teatri andmed / km</t>
  </si>
  <si>
    <t>Keskkonna hoidlike sündmuste korraldamise minimaalsete nõuete täitmine</t>
  </si>
  <si>
    <t xml:space="preserve"> Teatri andmed/ Lähtudes nt keskkonnahoidlike sündmuste korraldamise juhendist Tartu 2024 sündmustele / jah / ei</t>
  </si>
  <si>
    <t>Arvestada kõigi teenuste pakkumisel kasutajate vajadustega kogu nende elukaare ulatuses</t>
  </si>
  <si>
    <t>Enesehindamine kõigi teenuste lõikes, tegevuskava koostamine puuduste likvideerimiseks ja selle täitmine  </t>
  </si>
  <si>
    <t xml:space="preserve">lapsed, eakad, erivajadustega inimesed, lapsevanemad, ajutise tegevuspiiranguga inimesed, erineva keele- ja kultuuritaustaga inimesed ja kõik teised. Analüüsida teenuseid nn suutlikkussurvest ja kogemuse terviklikkusest lähtudes: st millist võimekust või suutlikkust iga konkreetne teenus kasutajalt igas üksikus kasutusetapis nõuab ning kuidas on võimalik suutlikkuste barjääre alandada või alternatiive pakkuda. Suuremaid investeeringuid nõudvate muudatuste puhul koostada tegevuskava.  </t>
  </si>
  <si>
    <t>FINANTSEESMÄRGID</t>
  </si>
  <si>
    <t>Võtmeindikaatorid</t>
  </si>
  <si>
    <t>majandusaasta aruanne</t>
  </si>
  <si>
    <t xml:space="preserve">majandusaasta aruanne </t>
  </si>
  <si>
    <t>jah/ei</t>
  </si>
  <si>
    <t>Kord aastas toimub nõukogu esimehe koostöövestlus juhatuse liikmega</t>
  </si>
  <si>
    <t>Kord aastas toimub nõukogude liikmete enesehindamine ning juhatuse liige annab tagasisidet nõukogu liikmete tööle</t>
  </si>
  <si>
    <t>Korraldab KuM</t>
  </si>
  <si>
    <t xml:space="preserve">Küberhügieeni koolituse (digitesti) läbinud töötajate osakaal aastas kõikidest asutuse töötajatest, kellele test saadeti.  </t>
  </si>
  <si>
    <t>Sihttase 2025</t>
  </si>
  <si>
    <t>?</t>
  </si>
  <si>
    <t>Sihttase 2026</t>
  </si>
  <si>
    <t>Sihttase 2027</t>
  </si>
  <si>
    <t>ei mõõdetud</t>
  </si>
  <si>
    <t>TÄPSEMAD VALDKONNAPÕHISED OOTUSED:</t>
  </si>
  <si>
    <t>1</t>
  </si>
  <si>
    <t>1.1</t>
  </si>
  <si>
    <t>1.2</t>
  </si>
  <si>
    <t>2</t>
  </si>
  <si>
    <t>2.1</t>
  </si>
  <si>
    <t>2.2</t>
  </si>
  <si>
    <t>3.1</t>
  </si>
  <si>
    <t>Jätta täiskasvanud ja noored vaatajad</t>
  </si>
  <si>
    <t>Teismelised 12-16a</t>
  </si>
  <si>
    <t>Noored 17-20a</t>
  </si>
  <si>
    <t>Noored</t>
  </si>
  <si>
    <t xml:space="preserve">Erinevatele vanuserühmadele antud etenduste külastajate arv </t>
  </si>
  <si>
    <t>4.1</t>
  </si>
  <si>
    <t>5.1</t>
  </si>
  <si>
    <t>5.2</t>
  </si>
  <si>
    <t>5.3</t>
  </si>
  <si>
    <t>5.4</t>
  </si>
  <si>
    <t>5.5</t>
  </si>
  <si>
    <t>5.6</t>
  </si>
  <si>
    <t>jah</t>
  </si>
  <si>
    <t>6</t>
  </si>
  <si>
    <t>Seireindikaatorid</t>
  </si>
  <si>
    <t>majandustegevusest laekuva tulu osakaal kogutulust (v.a investeeringutoetused)</t>
  </si>
  <si>
    <t>lühiajaliste võlgnevuste kattekordaja</t>
  </si>
  <si>
    <t>1,5-2,0</t>
  </si>
  <si>
    <t>tegevuskulu (v.a investeeringud ja amortisatsioonikulu) külastaja kohta aastas;</t>
  </si>
  <si>
    <t>avaliku sektori toetus (v.a investeeringutoetused) külastaja kohta aastas;</t>
  </si>
  <si>
    <t>SA majandustegevusest laekunud tulu töötaja kohta (taandatud täistööajale, lisandväärtus 1 töötaja kohta).</t>
  </si>
  <si>
    <t>Selleks toimub muu hulgas:</t>
  </si>
  <si>
    <t>KUM</t>
  </si>
  <si>
    <t xml:space="preserve">Juhatuse liikmele tulemustasu maksmine on seotud asutaja ootuste täitmisega (on sõlmitud tulemusleping või kokkulepe fikseeritud muul moel).  </t>
  </si>
  <si>
    <t>Tulemuslepingu või kokkuleppe sõlmimine</t>
  </si>
  <si>
    <t>6.1</t>
  </si>
  <si>
    <t>kohaliku omavalitsuse toetuste osakaal kogutulust</t>
  </si>
  <si>
    <t xml:space="preserve">Sihtasutus lähtub andmete töötlemisel ning infosüsteemide pidamisel, kasutamisel ja arendamisel avaliku sektori infoturbe nõuetest ning Kultuuriministeeriumi haldusala IKT teenuste korraldamise põhimõtetest. Üks tulemusindikaatoritest: küberhügieeni koolituse (digitesti) läbinud töötajate osakaal aastas kõikidest asutuse töötajatest, kellele test saadeti.  </t>
  </si>
  <si>
    <t>Piirkondlikel / kogukondlikel lugudel põhinevate lavastuste arv uuslavastuste hulgas</t>
  </si>
  <si>
    <t>Eraetendusasutuste ja muude kultuuriorganisatsioonidega koostöös loodud uuslavastuste arv</t>
  </si>
  <si>
    <t>Tutvustada läbi mitmekesise etendustegevuse Eesti ja välismaist dramaturgiat, sh kogukonnale ja piirkonnale olulisi lugusid ja materjale.</t>
  </si>
  <si>
    <t>1.3</t>
  </si>
  <si>
    <t>1.4</t>
  </si>
  <si>
    <t>Pakkuda mitmekesist ja ligipääsetavat etendusprogrammi erinevatele sihtgruppidele</t>
  </si>
  <si>
    <t>4</t>
  </si>
  <si>
    <t>jah, tegevuskava on koostatud</t>
  </si>
  <si>
    <t>jah, tegevuskavast on vähemalt 2 tegevust tehtud</t>
  </si>
  <si>
    <t>avaliku sektori toetus vs majandustegevusest laekunud tulude osakaal; %  </t>
  </si>
  <si>
    <t>ei</t>
  </si>
  <si>
    <t xml:space="preserve">Tagada etendustegevuse piirkondlik kättesaadavus  – korraldada etendusi maakonnas ja teistel suursaarte. sealhulgas Muhus ja Hiiumaal. </t>
  </si>
  <si>
    <t>2.3</t>
  </si>
  <si>
    <t>Publiku-uuring, soovitusindeks skaalal 
-100 kuni 100</t>
  </si>
  <si>
    <t>JUHTIMISKVALITEEDI EESMÄRGID</t>
  </si>
  <si>
    <t>Sihtasutus rakendab sobivat juhtimissüsteemi ja hindab regulaarselt selle toimimist.</t>
  </si>
  <si>
    <t>Miinimumina vähemalt üks siseaudit ja võimalusel kvaliteedialane sisemine hindamine kolme aasta jooksul.</t>
  </si>
  <si>
    <t>Keskkonnahoidlikud hanked</t>
  </si>
  <si>
    <t>Sõltuvalt hangete toimumisest</t>
  </si>
  <si>
    <t>vaheaasta</t>
  </si>
  <si>
    <t>Asutuse autode aastane läbisõit. Seireindikaator</t>
  </si>
  <si>
    <t>3.2.</t>
  </si>
  <si>
    <t>Väljasõiduetenduste arv maakondade lõikes, väljaspool statsionaarset saali</t>
  </si>
  <si>
    <t>Väljasõiduetenduste arv saartel väljaspool statsionaarset saali</t>
  </si>
  <si>
    <t>põhitegevuse tulem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</si>
</sst>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b/>
      <sz val="10.5"/>
      <color rgb="FF00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lightGrid">
        <fgColor theme="6" tint="0.3999450666829432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0" fillId="4" borderId="1" xfId="1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9" fontId="0" fillId="0" borderId="1" xfId="1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9" fontId="0" fillId="0" borderId="13" xfId="1" applyFont="1" applyBorder="1" applyAlignment="1">
      <alignment horizontal="center" vertical="center" wrapText="1"/>
    </xf>
    <xf numFmtId="9" fontId="0" fillId="0" borderId="13" xfId="1" applyFont="1" applyBorder="1" applyAlignment="1">
      <alignment horizontal="center" vertical="center"/>
    </xf>
    <xf numFmtId="9" fontId="0" fillId="0" borderId="7" xfId="1" applyFont="1" applyBorder="1" applyAlignment="1">
      <alignment horizontal="center" vertical="center" wrapText="1"/>
    </xf>
    <xf numFmtId="9" fontId="0" fillId="0" borderId="2" xfId="1" applyFont="1" applyBorder="1" applyAlignment="1">
      <alignment horizontal="center" vertical="center" wrapText="1"/>
    </xf>
    <xf numFmtId="9" fontId="0" fillId="0" borderId="2" xfId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7" fillId="0" borderId="0" xfId="0" applyFont="1"/>
    <xf numFmtId="0" fontId="2" fillId="4" borderId="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/>
    <xf numFmtId="0" fontId="0" fillId="0" borderId="1" xfId="0" applyBorder="1"/>
    <xf numFmtId="0" fontId="0" fillId="0" borderId="0" xfId="0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wrapText="1"/>
    </xf>
    <xf numFmtId="9" fontId="8" fillId="0" borderId="13" xfId="0" applyNumberFormat="1" applyFont="1" applyBorder="1" applyAlignment="1">
      <alignment horizontal="center" vertical="center"/>
    </xf>
    <xf numFmtId="9" fontId="8" fillId="0" borderId="7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</cellXfs>
  <cellStyles count="2">
    <cellStyle name="Normaallaad" xfId="0" builtinId="0"/>
    <cellStyle name="Prot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atre Väli" id="{313D3948-A6F1-4E96-B6B4-C4A03A085B1C}" userId="S::katre.vali@kul.ee::25373d1d-2520-45b5-a5e9-05db46c0784e" providerId="AD"/>
  <person displayName="Laur Kaunissaare" id="{9FD49E5A-DECA-4A87-8975-DC100BDCE21E}" userId="S::laur.kaunissaare@kul.ee::8ea0ac3b-bf85-4a36-96af-f25c96bcdda1" providerId="AD"/>
  <person displayName="Marie Anett Heinsalu" id="{0D419D19-48BF-43A5-BD8F-A251DBDE6453}" userId="S::marie.anett.heinsalu@kul.ee::05f4eec1-6cc1-49b3-8d6e-1061b66085c9" providerId="AD"/>
</personList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" dT="2024-02-16T14:45:07.10" personId="{9FD49E5A-DECA-4A87-8975-DC100BDCE21E}" id="{3CFE8E6C-EB24-47A9-96D2-02164099E52E}">
    <text>Piirangutega aasta.</text>
  </threadedComment>
  <threadedComment ref="G1" dT="2024-02-16T14:45:16.97" personId="{9FD49E5A-DECA-4A87-8975-DC100BDCE21E}" id="{4B67B75C-D2E8-4DC4-941F-064DAA0271E5}">
    <text>Piirangutega aasta.</text>
  </threadedComment>
  <threadedComment ref="C10" dT="2024-08-02T12:06:53.27" personId="{313D3948-A6F1-4E96-B6B4-C4A03A085B1C}" id="{EBA1C96F-9E6D-46F9-945D-9D390AA6CC43}">
    <text>algupärand on kõik Eesti autorite loodud materjalid, mida lavastuste aluseks kasutatakse (dramatiseering, näidend, koreograafia, filmistsenaarium jne)</text>
  </threadedComment>
  <threadedComment ref="C12" dT="2024-08-02T12:11:39.21" personId="{313D3948-A6F1-4E96-B6B4-C4A03A085B1C}" id="{A6C4ABAE-6BC1-4BFA-A2C1-5FED230106D6}">
    <text>Oluline on geograafiline mitmekesisus.</text>
  </threadedComment>
  <threadedComment ref="K19" dT="2024-02-22T09:03:52.39" personId="{9FD49E5A-DECA-4A87-8975-DC100BDCE21E}" id="{A26AAB90-1E58-4177-8C7F-AA94EBDAE832}">
    <text>Osakaalud sihtgruppide lõikes arutelukoht.</text>
  </threadedComment>
  <threadedComment ref="D31" dT="2024-08-02T11:57:06.63" personId="{313D3948-A6F1-4E96-B6B4-C4A03A085B1C}" id="{12CEE28D-4167-480A-8D97-033593C22E18}">
    <text>Kasutame RKAS-e hindamisskaalat, etendusasutuse enesehindamine selle põhjal.</text>
  </threadedComment>
  <threadedComment ref="B32" dT="2024-02-16T16:27:31.54" personId="{9FD49E5A-DECA-4A87-8975-DC100BDCE21E}" id="{159ADABB-AE9C-472A-9992-03DE2B1E0F5E}">
    <text>Tulemusindikaatorid (panustavad „Kultuuri arengukava 2021–2030“ alaeesmärgi mõõdikusse „Eesti kultuurikorralduse keskkonnamõju“).</text>
  </threadedComment>
  <threadedComment ref="C40" dT="2024-08-02T12:02:54.15" personId="{313D3948-A6F1-4E96-B6B4-C4A03A085B1C}" id="{7A6A8FD1-E4C2-4684-9B3C-98E523D5EF3B}">
    <text>vt ligipääsetavuse koolitusmaterjale: https://kul.ee/ligipaasetavuse-edendamine-kultuuris-ja-spordis</text>
  </threadedComment>
  <threadedComment ref="G44" dT="2024-02-16T17:17:44.16" personId="{9FD49E5A-DECA-4A87-8975-DC100BDCE21E}" id="{F791305E-998C-43F3-B55B-453A60517157}">
    <text>Piirangutega aasta anomaalia.</text>
  </threadedComment>
  <threadedComment ref="C51" dT="2025-04-07T12:19:18.98" personId="{0D419D19-48BF-43A5-BD8F-A251DBDE6453}" id="{E2687932-7A2C-4673-9422-F5B45FD02459}">
    <text xml:space="preserve">RVS § 87 kohaselt on siseaudit kohustuslik kui tulu või bilansimaht suurem kui 2,0 mln EUR. Vabatahtlik on läbi viia kvaliteedialaseid sisemisi hindamisi, aluseks Rahandusministeeriumi soovituslikud mudelid. </text>
  </threadedComment>
  <threadedComment ref="D51" dT="2024-04-01T14:00:20.07" personId="{313D3948-A6F1-4E96-B6B4-C4A03A085B1C}" id="{A4F1AB2B-BEFC-4285-AF6D-5C7335A89ED0}">
    <text xml:space="preserve">Otsustamise koht, millist hindamissüsteemi rakendada, vastavalt teatri mahtudele ning varasemalt tehtud hindamistele. </text>
  </threadedComment>
  <threadedComment ref="C54" dT="2024-08-02T11:52:41.80" personId="{313D3948-A6F1-4E96-B6B4-C4A03A085B1C}" id="{635A1896-4F06-4ED0-B249-64E313349AC9}">
    <text>Metoodika olemas, anonüümne küsimustik, jagatakse KUM-i poolt kõigi nõukogu liikmetega.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7230B-39BE-4DB2-8758-AA3A58DE57B1}">
  <dimension ref="A1:N56"/>
  <sheetViews>
    <sheetView tabSelected="1" zoomScale="80" zoomScaleNormal="80" workbookViewId="0">
      <pane ySplit="1" topLeftCell="A2" activePane="bottomLeft" state="frozen"/>
      <selection pane="bottomLeft" activeCell="B51" sqref="B51"/>
    </sheetView>
  </sheetViews>
  <sheetFormatPr defaultRowHeight="15" x14ac:dyDescent="0.25"/>
  <cols>
    <col min="1" max="1" width="14.42578125" style="59" customWidth="1"/>
    <col min="2" max="2" width="30.85546875" customWidth="1"/>
    <col min="3" max="3" width="37.42578125" customWidth="1"/>
    <col min="4" max="4" width="37.28515625" customWidth="1"/>
    <col min="5" max="5" width="15.140625" customWidth="1"/>
    <col min="6" max="13" width="14.7109375" customWidth="1"/>
    <col min="14" max="14" width="35" customWidth="1"/>
  </cols>
  <sheetData>
    <row r="1" spans="1:14" s="19" customFormat="1" ht="18.600000000000001" customHeight="1" x14ac:dyDescent="0.25">
      <c r="A1" s="12" t="s">
        <v>0</v>
      </c>
      <c r="B1" s="12" t="s">
        <v>1</v>
      </c>
      <c r="C1" s="13" t="s">
        <v>2</v>
      </c>
      <c r="D1" s="12" t="s">
        <v>3</v>
      </c>
      <c r="E1" s="12">
        <v>2019</v>
      </c>
      <c r="F1" s="13">
        <v>2020</v>
      </c>
      <c r="G1" s="13">
        <v>2021</v>
      </c>
      <c r="H1" s="13">
        <v>2022</v>
      </c>
      <c r="I1" s="13">
        <v>2023</v>
      </c>
      <c r="J1" s="13">
        <v>2024</v>
      </c>
      <c r="K1" s="13" t="s">
        <v>47</v>
      </c>
      <c r="L1" s="13" t="s">
        <v>49</v>
      </c>
      <c r="M1" s="13" t="s">
        <v>50</v>
      </c>
    </row>
    <row r="2" spans="1:14" s="19" customFormat="1" ht="30" customHeight="1" x14ac:dyDescent="0.25">
      <c r="A2" s="79" t="s">
        <v>4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1"/>
    </row>
    <row r="3" spans="1:14" s="19" customFormat="1" ht="31.9" customHeight="1" x14ac:dyDescent="0.25">
      <c r="A3" s="28">
        <v>1</v>
      </c>
      <c r="B3" s="73" t="s">
        <v>5</v>
      </c>
      <c r="C3" s="10" t="s">
        <v>6</v>
      </c>
      <c r="D3" s="2" t="s">
        <v>101</v>
      </c>
      <c r="E3" s="36" t="s">
        <v>51</v>
      </c>
      <c r="F3" s="2" t="s">
        <v>51</v>
      </c>
      <c r="G3" s="2" t="s">
        <v>51</v>
      </c>
      <c r="H3" s="2" t="s">
        <v>51</v>
      </c>
      <c r="I3" s="2" t="s">
        <v>51</v>
      </c>
      <c r="J3" s="2" t="s">
        <v>51</v>
      </c>
      <c r="K3" s="2" t="s">
        <v>51</v>
      </c>
      <c r="L3" s="2">
        <v>80</v>
      </c>
      <c r="M3" s="2" t="s">
        <v>107</v>
      </c>
      <c r="N3" s="64"/>
    </row>
    <row r="4" spans="1:14" s="19" customFormat="1" ht="36" customHeight="1" x14ac:dyDescent="0.25">
      <c r="A4" s="10">
        <v>2</v>
      </c>
      <c r="B4" s="74"/>
      <c r="C4" s="8" t="s">
        <v>7</v>
      </c>
      <c r="D4" s="7" t="s">
        <v>14</v>
      </c>
      <c r="E4" s="7" t="s">
        <v>51</v>
      </c>
      <c r="F4" s="7" t="s">
        <v>51</v>
      </c>
      <c r="G4" s="7" t="s">
        <v>51</v>
      </c>
      <c r="H4" s="7" t="s">
        <v>51</v>
      </c>
      <c r="I4" s="7" t="s">
        <v>51</v>
      </c>
      <c r="J4" s="7" t="s">
        <v>51</v>
      </c>
      <c r="K4" s="15">
        <v>0.8</v>
      </c>
      <c r="L4" s="15">
        <v>0.8</v>
      </c>
      <c r="M4" s="15">
        <v>0.8</v>
      </c>
    </row>
    <row r="5" spans="1:14" s="19" customFormat="1" ht="50.45" customHeight="1" x14ac:dyDescent="0.25">
      <c r="A5" s="10">
        <v>3</v>
      </c>
      <c r="B5" s="74"/>
      <c r="C5" s="1" t="s">
        <v>8</v>
      </c>
      <c r="D5" s="2" t="s">
        <v>9</v>
      </c>
      <c r="E5" s="2" t="s">
        <v>51</v>
      </c>
      <c r="F5" s="2" t="s">
        <v>51</v>
      </c>
      <c r="G5" s="3" t="s">
        <v>51</v>
      </c>
      <c r="H5" s="2" t="s">
        <v>51</v>
      </c>
      <c r="I5" s="2" t="s">
        <v>51</v>
      </c>
      <c r="J5" s="2" t="s">
        <v>51</v>
      </c>
      <c r="K5" s="5" t="s">
        <v>51</v>
      </c>
      <c r="L5" s="5">
        <v>0.75</v>
      </c>
      <c r="M5" s="5" t="s">
        <v>107</v>
      </c>
      <c r="N5" s="64"/>
    </row>
    <row r="6" spans="1:14" s="19" customFormat="1" ht="18" customHeight="1" x14ac:dyDescent="0.25">
      <c r="A6" s="10">
        <v>4</v>
      </c>
      <c r="B6" s="74"/>
      <c r="C6" s="8" t="s">
        <v>10</v>
      </c>
      <c r="D6" s="11" t="s">
        <v>11</v>
      </c>
      <c r="E6" s="11">
        <v>111</v>
      </c>
      <c r="F6" s="11">
        <v>84</v>
      </c>
      <c r="G6" s="6">
        <v>81</v>
      </c>
      <c r="H6" s="4">
        <v>97</v>
      </c>
      <c r="I6" s="42">
        <v>100</v>
      </c>
      <c r="J6" s="42">
        <v>104</v>
      </c>
      <c r="K6" s="42">
        <v>110</v>
      </c>
      <c r="L6" s="4">
        <v>110</v>
      </c>
      <c r="M6" s="4">
        <v>110</v>
      </c>
    </row>
    <row r="7" spans="1:14" s="19" customFormat="1" ht="18" customHeight="1" x14ac:dyDescent="0.25">
      <c r="A7" s="10">
        <v>5</v>
      </c>
      <c r="B7" s="75"/>
      <c r="C7" s="1" t="s">
        <v>12</v>
      </c>
      <c r="D7" s="7" t="s">
        <v>11</v>
      </c>
      <c r="E7" s="7">
        <v>4</v>
      </c>
      <c r="F7" s="11">
        <v>3</v>
      </c>
      <c r="G7" s="4">
        <v>3</v>
      </c>
      <c r="H7" s="4">
        <v>4</v>
      </c>
      <c r="I7" s="42">
        <v>4</v>
      </c>
      <c r="J7" s="42">
        <v>5</v>
      </c>
      <c r="K7" s="42">
        <v>5</v>
      </c>
      <c r="L7" s="4">
        <v>4</v>
      </c>
      <c r="M7" s="4">
        <v>4</v>
      </c>
    </row>
    <row r="8" spans="1:14" s="19" customFormat="1" ht="30" customHeight="1" x14ac:dyDescent="0.25">
      <c r="A8" s="79" t="s">
        <v>52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1"/>
    </row>
    <row r="9" spans="1:14" s="19" customFormat="1" ht="25.15" customHeight="1" x14ac:dyDescent="0.25">
      <c r="A9" s="24" t="s">
        <v>53</v>
      </c>
      <c r="B9" s="84" t="s">
        <v>90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6"/>
    </row>
    <row r="10" spans="1:14" s="19" customFormat="1" ht="36" customHeight="1" x14ac:dyDescent="0.25">
      <c r="A10" s="18" t="s">
        <v>54</v>
      </c>
      <c r="B10" s="97"/>
      <c r="C10" s="1" t="s">
        <v>13</v>
      </c>
      <c r="D10" s="7" t="s">
        <v>11</v>
      </c>
      <c r="E10" s="7">
        <v>2</v>
      </c>
      <c r="F10" s="4">
        <v>1</v>
      </c>
      <c r="G10" s="4">
        <v>2</v>
      </c>
      <c r="H10" s="11">
        <v>2</v>
      </c>
      <c r="I10" s="43">
        <v>4</v>
      </c>
      <c r="J10" s="43">
        <v>1</v>
      </c>
      <c r="K10" s="42">
        <v>2</v>
      </c>
      <c r="L10" s="3">
        <v>2</v>
      </c>
      <c r="M10" s="7">
        <v>2</v>
      </c>
    </row>
    <row r="11" spans="1:14" s="19" customFormat="1" ht="54" customHeight="1" x14ac:dyDescent="0.25">
      <c r="A11" s="18" t="s">
        <v>55</v>
      </c>
      <c r="B11" s="98"/>
      <c r="C11" s="1" t="s">
        <v>88</v>
      </c>
      <c r="D11" s="7" t="s">
        <v>14</v>
      </c>
      <c r="E11" s="7">
        <v>1</v>
      </c>
      <c r="F11" s="27">
        <v>1</v>
      </c>
      <c r="G11" s="4">
        <v>0</v>
      </c>
      <c r="H11" s="11">
        <v>2</v>
      </c>
      <c r="I11" s="43">
        <v>3</v>
      </c>
      <c r="J11" s="43">
        <v>1</v>
      </c>
      <c r="K11" s="42">
        <v>2</v>
      </c>
      <c r="L11" s="22">
        <v>2</v>
      </c>
      <c r="M11" s="22">
        <v>2</v>
      </c>
    </row>
    <row r="12" spans="1:14" s="19" customFormat="1" ht="18" customHeight="1" x14ac:dyDescent="0.25">
      <c r="A12" s="18" t="s">
        <v>91</v>
      </c>
      <c r="B12" s="98"/>
      <c r="C12" s="1" t="s">
        <v>15</v>
      </c>
      <c r="D12" s="7" t="s">
        <v>11</v>
      </c>
      <c r="E12" s="7">
        <v>3</v>
      </c>
      <c r="F12" s="4">
        <v>2</v>
      </c>
      <c r="G12" s="4">
        <v>1</v>
      </c>
      <c r="H12" s="4">
        <v>1</v>
      </c>
      <c r="I12" s="42">
        <v>1</v>
      </c>
      <c r="J12" s="42">
        <v>5</v>
      </c>
      <c r="K12" s="42">
        <v>2</v>
      </c>
      <c r="L12" s="4">
        <v>2</v>
      </c>
      <c r="M12" s="4">
        <v>2</v>
      </c>
    </row>
    <row r="13" spans="1:14" s="19" customFormat="1" ht="54" customHeight="1" x14ac:dyDescent="0.25">
      <c r="A13" s="18" t="s">
        <v>92</v>
      </c>
      <c r="B13" s="99"/>
      <c r="C13" s="23" t="s">
        <v>89</v>
      </c>
      <c r="D13" s="7" t="s">
        <v>11</v>
      </c>
      <c r="E13" s="7">
        <v>1</v>
      </c>
      <c r="F13" s="11">
        <v>0</v>
      </c>
      <c r="G13" s="4">
        <v>0</v>
      </c>
      <c r="H13" s="4">
        <v>0</v>
      </c>
      <c r="I13" s="42">
        <v>0</v>
      </c>
      <c r="J13" s="42">
        <v>1</v>
      </c>
      <c r="K13" s="42">
        <v>1</v>
      </c>
      <c r="L13" s="4">
        <v>1</v>
      </c>
      <c r="M13" s="4">
        <v>1</v>
      </c>
    </row>
    <row r="14" spans="1:14" s="19" customFormat="1" ht="25.15" customHeight="1" x14ac:dyDescent="0.25">
      <c r="A14" s="24" t="s">
        <v>56</v>
      </c>
      <c r="B14" s="87" t="s">
        <v>93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9"/>
    </row>
    <row r="15" spans="1:14" s="19" customFormat="1" ht="36" customHeight="1" x14ac:dyDescent="0.25">
      <c r="A15" s="18" t="s">
        <v>57</v>
      </c>
      <c r="B15" s="40"/>
      <c r="C15" s="47" t="s">
        <v>16</v>
      </c>
      <c r="D15" s="106"/>
      <c r="E15" s="107"/>
      <c r="F15" s="107"/>
      <c r="G15" s="107"/>
      <c r="H15" s="107"/>
      <c r="I15" s="107"/>
      <c r="J15" s="107"/>
      <c r="K15" s="107"/>
      <c r="L15" s="107"/>
      <c r="M15" s="108"/>
    </row>
    <row r="16" spans="1:14" s="19" customFormat="1" ht="18" customHeight="1" x14ac:dyDescent="0.25">
      <c r="A16" s="116"/>
      <c r="B16" s="117"/>
      <c r="C16" s="3" t="s">
        <v>63</v>
      </c>
      <c r="D16" s="7" t="s">
        <v>11</v>
      </c>
      <c r="E16" s="7">
        <v>58</v>
      </c>
      <c r="F16" s="7">
        <v>45</v>
      </c>
      <c r="G16" s="7">
        <v>41</v>
      </c>
      <c r="H16" s="7">
        <v>35</v>
      </c>
      <c r="I16" s="7">
        <v>35</v>
      </c>
      <c r="J16" s="4">
        <v>42</v>
      </c>
      <c r="K16" s="7">
        <v>30</v>
      </c>
      <c r="L16" s="7">
        <v>30</v>
      </c>
      <c r="M16" s="7">
        <v>30</v>
      </c>
    </row>
    <row r="17" spans="1:14" s="19" customFormat="1" ht="18" customHeight="1" x14ac:dyDescent="0.25">
      <c r="A17" s="118"/>
      <c r="B17" s="119"/>
      <c r="C17" s="3" t="s">
        <v>19</v>
      </c>
      <c r="D17" s="7" t="s">
        <v>11</v>
      </c>
      <c r="E17" s="7">
        <v>53</v>
      </c>
      <c r="F17" s="4">
        <v>39</v>
      </c>
      <c r="G17" s="4">
        <v>40</v>
      </c>
      <c r="H17" s="4">
        <v>62</v>
      </c>
      <c r="I17" s="4">
        <v>65</v>
      </c>
      <c r="J17" s="4">
        <v>62</v>
      </c>
      <c r="K17" s="4">
        <v>80</v>
      </c>
      <c r="L17" s="4">
        <v>80</v>
      </c>
      <c r="M17" s="4">
        <v>80</v>
      </c>
    </row>
    <row r="18" spans="1:14" s="19" customFormat="1" ht="36" customHeight="1" x14ac:dyDescent="0.25">
      <c r="A18" s="18" t="s">
        <v>58</v>
      </c>
      <c r="B18" s="8"/>
      <c r="C18" s="23" t="s">
        <v>64</v>
      </c>
      <c r="D18" s="103"/>
      <c r="E18" s="104"/>
      <c r="F18" s="104"/>
      <c r="G18" s="104"/>
      <c r="H18" s="104"/>
      <c r="I18" s="104"/>
      <c r="J18" s="104"/>
      <c r="K18" s="104"/>
      <c r="L18" s="104"/>
      <c r="M18" s="105"/>
    </row>
    <row r="19" spans="1:14" s="19" customFormat="1" ht="22.15" hidden="1" customHeight="1" x14ac:dyDescent="0.25">
      <c r="A19" s="18"/>
      <c r="B19" s="39" t="s">
        <v>60</v>
      </c>
      <c r="C19" s="3" t="s">
        <v>17</v>
      </c>
      <c r="D19" s="7" t="s">
        <v>11</v>
      </c>
      <c r="E19" s="4">
        <v>0</v>
      </c>
      <c r="F19" s="4">
        <v>0</v>
      </c>
      <c r="G19" s="4">
        <v>501</v>
      </c>
      <c r="H19" s="21">
        <v>243</v>
      </c>
      <c r="I19" s="4">
        <v>77</v>
      </c>
      <c r="J19" s="4" t="s">
        <v>48</v>
      </c>
      <c r="K19" s="4">
        <v>0</v>
      </c>
      <c r="L19" s="4">
        <v>0</v>
      </c>
      <c r="M19" s="4">
        <v>0</v>
      </c>
    </row>
    <row r="20" spans="1:14" s="19" customFormat="1" ht="22.15" hidden="1" customHeight="1" x14ac:dyDescent="0.25">
      <c r="A20" s="18"/>
      <c r="B20" s="8"/>
      <c r="C20" s="3" t="s">
        <v>18</v>
      </c>
      <c r="D20" s="7" t="s">
        <v>11</v>
      </c>
      <c r="E20" s="4">
        <v>8267</v>
      </c>
      <c r="F20" s="4">
        <v>5989</v>
      </c>
      <c r="G20" s="4">
        <v>2235</v>
      </c>
      <c r="H20" s="21">
        <v>3988</v>
      </c>
      <c r="I20" s="4">
        <v>4806</v>
      </c>
      <c r="J20" s="4" t="s">
        <v>48</v>
      </c>
      <c r="K20" s="4">
        <v>2000</v>
      </c>
      <c r="L20" s="4">
        <v>2000</v>
      </c>
      <c r="M20" s="4">
        <v>2000</v>
      </c>
    </row>
    <row r="21" spans="1:14" s="19" customFormat="1" ht="22.15" hidden="1" customHeight="1" x14ac:dyDescent="0.25">
      <c r="A21" s="18"/>
      <c r="B21" s="8"/>
      <c r="C21" s="3" t="s">
        <v>61</v>
      </c>
      <c r="D21" s="7" t="s">
        <v>11</v>
      </c>
      <c r="E21" s="4">
        <v>1286</v>
      </c>
      <c r="F21" s="4">
        <v>412</v>
      </c>
      <c r="G21" s="4">
        <v>0</v>
      </c>
      <c r="H21" s="21">
        <v>0</v>
      </c>
      <c r="I21" s="4">
        <v>0</v>
      </c>
      <c r="J21" s="4" t="s">
        <v>48</v>
      </c>
      <c r="K21" s="4">
        <v>1000</v>
      </c>
      <c r="L21" s="4">
        <v>1000</v>
      </c>
      <c r="M21" s="4">
        <v>1000</v>
      </c>
    </row>
    <row r="22" spans="1:14" s="19" customFormat="1" ht="22.15" hidden="1" customHeight="1" x14ac:dyDescent="0.25">
      <c r="A22" s="18"/>
      <c r="B22" s="8"/>
      <c r="C22" s="3" t="s">
        <v>62</v>
      </c>
      <c r="D22" s="7" t="s">
        <v>11</v>
      </c>
      <c r="E22" s="4">
        <v>340</v>
      </c>
      <c r="F22" s="4">
        <v>0</v>
      </c>
      <c r="G22" s="4">
        <v>0</v>
      </c>
      <c r="H22" s="21">
        <v>0</v>
      </c>
      <c r="I22" s="4">
        <v>0</v>
      </c>
      <c r="J22" s="4" t="s">
        <v>48</v>
      </c>
      <c r="K22" s="21">
        <v>1000</v>
      </c>
      <c r="L22" s="21">
        <v>1000</v>
      </c>
      <c r="M22" s="21">
        <v>1000</v>
      </c>
    </row>
    <row r="23" spans="1:14" s="19" customFormat="1" ht="18" customHeight="1" x14ac:dyDescent="0.25">
      <c r="A23" s="116"/>
      <c r="B23" s="117"/>
      <c r="C23" s="3" t="s">
        <v>63</v>
      </c>
      <c r="D23" s="7" t="s">
        <v>11</v>
      </c>
      <c r="E23" s="49">
        <f>SUM(E19:E22)</f>
        <v>9893</v>
      </c>
      <c r="F23" s="4">
        <f t="shared" ref="F23:M23" si="0">SUM(F19:F22)</f>
        <v>6401</v>
      </c>
      <c r="G23" s="4">
        <f t="shared" si="0"/>
        <v>2736</v>
      </c>
      <c r="H23" s="4">
        <f t="shared" si="0"/>
        <v>4231</v>
      </c>
      <c r="I23" s="4">
        <f t="shared" si="0"/>
        <v>4883</v>
      </c>
      <c r="J23" s="4">
        <v>7776</v>
      </c>
      <c r="K23" s="4">
        <f t="shared" si="0"/>
        <v>4000</v>
      </c>
      <c r="L23" s="4">
        <f t="shared" si="0"/>
        <v>4000</v>
      </c>
      <c r="M23" s="4">
        <f t="shared" si="0"/>
        <v>4000</v>
      </c>
    </row>
    <row r="24" spans="1:14" s="19" customFormat="1" ht="18" customHeight="1" x14ac:dyDescent="0.25">
      <c r="A24" s="120"/>
      <c r="B24" s="121"/>
      <c r="C24" s="3" t="s">
        <v>19</v>
      </c>
      <c r="D24" s="7" t="s">
        <v>11</v>
      </c>
      <c r="E24" s="49">
        <v>6142</v>
      </c>
      <c r="F24" s="4">
        <v>4635</v>
      </c>
      <c r="G24" s="4">
        <v>4860</v>
      </c>
      <c r="H24" s="21">
        <v>7090</v>
      </c>
      <c r="I24" s="4">
        <v>7830</v>
      </c>
      <c r="J24" s="4">
        <v>7971</v>
      </c>
      <c r="K24" s="4">
        <v>8000</v>
      </c>
      <c r="L24" s="4">
        <v>8000</v>
      </c>
      <c r="M24" s="4">
        <v>8000</v>
      </c>
    </row>
    <row r="25" spans="1:14" s="19" customFormat="1" ht="18" customHeight="1" x14ac:dyDescent="0.25">
      <c r="A25" s="118"/>
      <c r="B25" s="119"/>
      <c r="C25" s="3" t="s">
        <v>20</v>
      </c>
      <c r="D25" s="7" t="s">
        <v>11</v>
      </c>
      <c r="E25" s="49">
        <f>SUM(E23:E24)</f>
        <v>16035</v>
      </c>
      <c r="F25" s="4">
        <f t="shared" ref="F25:M25" si="1">SUM(F23:F24)</f>
        <v>11036</v>
      </c>
      <c r="G25" s="4">
        <f t="shared" si="1"/>
        <v>7596</v>
      </c>
      <c r="H25" s="4">
        <f t="shared" si="1"/>
        <v>11321</v>
      </c>
      <c r="I25" s="4">
        <v>12713</v>
      </c>
      <c r="J25" s="4">
        <v>15747</v>
      </c>
      <c r="K25" s="4">
        <f t="shared" si="1"/>
        <v>12000</v>
      </c>
      <c r="L25" s="4">
        <f t="shared" si="1"/>
        <v>12000</v>
      </c>
      <c r="M25" s="4">
        <f t="shared" si="1"/>
        <v>12000</v>
      </c>
    </row>
    <row r="26" spans="1:14" ht="18" customHeight="1" x14ac:dyDescent="0.25">
      <c r="A26" s="58" t="s">
        <v>100</v>
      </c>
      <c r="B26" s="60"/>
      <c r="C26" s="51" t="s">
        <v>21</v>
      </c>
      <c r="D26" s="7" t="s">
        <v>14</v>
      </c>
      <c r="E26" s="50">
        <v>34</v>
      </c>
      <c r="F26" s="35">
        <v>28</v>
      </c>
      <c r="G26" s="35">
        <v>24</v>
      </c>
      <c r="H26" s="35">
        <v>27</v>
      </c>
      <c r="I26" s="35">
        <v>31</v>
      </c>
      <c r="J26" s="35">
        <v>47</v>
      </c>
      <c r="K26" s="35">
        <v>25</v>
      </c>
      <c r="L26" s="52">
        <v>25</v>
      </c>
      <c r="M26" s="4">
        <v>25</v>
      </c>
    </row>
    <row r="27" spans="1:14" s="19" customFormat="1" ht="25.15" customHeight="1" x14ac:dyDescent="0.25">
      <c r="A27" s="9">
        <v>3</v>
      </c>
      <c r="B27" s="90" t="s">
        <v>99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2"/>
    </row>
    <row r="28" spans="1:14" s="19" customFormat="1" ht="36" customHeight="1" x14ac:dyDescent="0.25">
      <c r="A28" s="18" t="s">
        <v>59</v>
      </c>
      <c r="B28" s="82"/>
      <c r="C28" s="20" t="s">
        <v>110</v>
      </c>
      <c r="D28" s="45" t="s">
        <v>11</v>
      </c>
      <c r="E28" s="2">
        <v>59</v>
      </c>
      <c r="F28" s="4">
        <v>36</v>
      </c>
      <c r="G28" s="4">
        <v>36</v>
      </c>
      <c r="H28" s="4">
        <v>35</v>
      </c>
      <c r="I28" s="42">
        <v>32</v>
      </c>
      <c r="J28" s="42">
        <v>42</v>
      </c>
      <c r="K28" s="42">
        <v>35</v>
      </c>
      <c r="L28" s="4">
        <v>35</v>
      </c>
      <c r="M28" s="4">
        <v>35</v>
      </c>
    </row>
    <row r="29" spans="1:14" s="19" customFormat="1" ht="36" customHeight="1" x14ac:dyDescent="0.25">
      <c r="A29" s="18" t="s">
        <v>109</v>
      </c>
      <c r="B29" s="115"/>
      <c r="C29" s="20" t="s">
        <v>111</v>
      </c>
      <c r="D29" s="45" t="s">
        <v>11</v>
      </c>
      <c r="E29" s="2">
        <v>16</v>
      </c>
      <c r="F29" s="4">
        <v>17</v>
      </c>
      <c r="G29" s="4">
        <v>12</v>
      </c>
      <c r="H29" s="4">
        <v>24</v>
      </c>
      <c r="I29" s="42">
        <v>22</v>
      </c>
      <c r="J29" s="42">
        <v>16</v>
      </c>
      <c r="K29" s="42">
        <v>15</v>
      </c>
      <c r="L29" s="4">
        <v>15</v>
      </c>
      <c r="M29" s="4">
        <v>15</v>
      </c>
    </row>
    <row r="30" spans="1:14" s="19" customFormat="1" ht="25.15" customHeight="1" x14ac:dyDescent="0.25">
      <c r="A30" s="24" t="s">
        <v>94</v>
      </c>
      <c r="B30" s="87" t="s">
        <v>22</v>
      </c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9"/>
    </row>
    <row r="31" spans="1:14" s="19" customFormat="1" ht="36" customHeight="1" x14ac:dyDescent="0.25">
      <c r="A31" s="18" t="s">
        <v>65</v>
      </c>
      <c r="B31" s="17"/>
      <c r="C31" s="1" t="s">
        <v>23</v>
      </c>
      <c r="D31" s="2" t="s">
        <v>24</v>
      </c>
      <c r="E31" s="2" t="s">
        <v>51</v>
      </c>
      <c r="F31" s="2" t="s">
        <v>51</v>
      </c>
      <c r="G31" s="2" t="s">
        <v>51</v>
      </c>
      <c r="H31" s="2" t="s">
        <v>51</v>
      </c>
      <c r="I31" s="2" t="s">
        <v>51</v>
      </c>
      <c r="J31" s="2" t="s">
        <v>51</v>
      </c>
      <c r="K31" s="26">
        <v>0.8</v>
      </c>
      <c r="L31" s="26">
        <v>0.8</v>
      </c>
      <c r="M31" s="26">
        <v>0.8</v>
      </c>
    </row>
    <row r="32" spans="1:14" s="19" customFormat="1" ht="25.15" customHeight="1" x14ac:dyDescent="0.25">
      <c r="A32" s="9">
        <v>5</v>
      </c>
      <c r="B32" s="87" t="s">
        <v>25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9"/>
      <c r="N32" s="65"/>
    </row>
    <row r="33" spans="1:13" s="19" customFormat="1" ht="18" customHeight="1" x14ac:dyDescent="0.25">
      <c r="A33" s="18" t="s">
        <v>66</v>
      </c>
      <c r="B33" s="82"/>
      <c r="C33" s="1" t="s">
        <v>26</v>
      </c>
      <c r="D33" s="11" t="s">
        <v>27</v>
      </c>
      <c r="E33" s="11" t="s">
        <v>51</v>
      </c>
      <c r="F33" s="4">
        <v>25243</v>
      </c>
      <c r="G33" s="4">
        <v>27925</v>
      </c>
      <c r="H33" s="4">
        <v>36626</v>
      </c>
      <c r="I33" s="4">
        <v>41561</v>
      </c>
      <c r="J33" s="4">
        <v>50000</v>
      </c>
      <c r="K33" s="4">
        <v>46000</v>
      </c>
      <c r="L33" s="4">
        <v>46000</v>
      </c>
      <c r="M33" s="4">
        <v>46000</v>
      </c>
    </row>
    <row r="34" spans="1:13" s="19" customFormat="1" ht="18" customHeight="1" x14ac:dyDescent="0.25">
      <c r="A34" s="18" t="s">
        <v>67</v>
      </c>
      <c r="B34" s="83"/>
      <c r="C34" s="1" t="s">
        <v>28</v>
      </c>
      <c r="D34" s="11" t="s">
        <v>29</v>
      </c>
      <c r="E34" s="11" t="s">
        <v>51</v>
      </c>
      <c r="F34" s="42">
        <v>269</v>
      </c>
      <c r="G34" s="42">
        <v>326</v>
      </c>
      <c r="H34" s="42">
        <v>241</v>
      </c>
      <c r="I34" s="42">
        <v>185</v>
      </c>
      <c r="J34" s="42">
        <v>246</v>
      </c>
      <c r="K34" s="42">
        <v>245</v>
      </c>
      <c r="L34" s="42">
        <v>245</v>
      </c>
      <c r="M34" s="42">
        <v>245</v>
      </c>
    </row>
    <row r="35" spans="1:13" s="19" customFormat="1" ht="18" customHeight="1" x14ac:dyDescent="0.25">
      <c r="A35" s="18" t="s">
        <v>68</v>
      </c>
      <c r="B35" s="83"/>
      <c r="C35" s="1" t="s">
        <v>30</v>
      </c>
      <c r="D35" s="11" t="s">
        <v>31</v>
      </c>
      <c r="E35" s="11" t="s">
        <v>72</v>
      </c>
      <c r="F35" s="4" t="s">
        <v>72</v>
      </c>
      <c r="G35" s="4" t="s">
        <v>72</v>
      </c>
      <c r="H35" s="4" t="s">
        <v>72</v>
      </c>
      <c r="I35" s="4" t="s">
        <v>72</v>
      </c>
      <c r="J35" s="4" t="s">
        <v>72</v>
      </c>
      <c r="K35" s="4" t="s">
        <v>72</v>
      </c>
      <c r="L35" s="4" t="s">
        <v>72</v>
      </c>
      <c r="M35" s="4" t="s">
        <v>72</v>
      </c>
    </row>
    <row r="36" spans="1:13" s="19" customFormat="1" ht="18" customHeight="1" x14ac:dyDescent="0.25">
      <c r="A36" s="18" t="s">
        <v>69</v>
      </c>
      <c r="B36" s="83"/>
      <c r="C36" s="1" t="s">
        <v>105</v>
      </c>
      <c r="D36" s="11" t="s">
        <v>106</v>
      </c>
      <c r="E36" s="11" t="s">
        <v>51</v>
      </c>
      <c r="F36" s="11" t="s">
        <v>51</v>
      </c>
      <c r="G36" s="11" t="s">
        <v>51</v>
      </c>
      <c r="H36" s="11" t="s">
        <v>51</v>
      </c>
      <c r="I36" s="11" t="s">
        <v>51</v>
      </c>
      <c r="J36" s="11" t="s">
        <v>51</v>
      </c>
      <c r="K36" s="4" t="s">
        <v>72</v>
      </c>
      <c r="L36" s="4" t="s">
        <v>72</v>
      </c>
      <c r="M36" s="4" t="s">
        <v>72</v>
      </c>
    </row>
    <row r="37" spans="1:13" s="19" customFormat="1" ht="36" customHeight="1" x14ac:dyDescent="0.25">
      <c r="A37" s="18" t="s">
        <v>70</v>
      </c>
      <c r="B37" s="83"/>
      <c r="C37" s="1" t="s">
        <v>108</v>
      </c>
      <c r="D37" s="7" t="s">
        <v>32</v>
      </c>
      <c r="E37" s="7" t="s">
        <v>51</v>
      </c>
      <c r="F37" s="4">
        <v>30000</v>
      </c>
      <c r="G37" s="4">
        <v>30000</v>
      </c>
      <c r="H37" s="4">
        <v>41000</v>
      </c>
      <c r="I37" s="4">
        <v>41000</v>
      </c>
      <c r="J37" s="4">
        <v>41000</v>
      </c>
      <c r="K37" s="44"/>
      <c r="L37" s="44"/>
      <c r="M37" s="44"/>
    </row>
    <row r="38" spans="1:13" s="19" customFormat="1" ht="54" customHeight="1" x14ac:dyDescent="0.25">
      <c r="A38" s="18" t="s">
        <v>71</v>
      </c>
      <c r="B38" s="83"/>
      <c r="C38" s="46" t="s">
        <v>33</v>
      </c>
      <c r="D38" s="53" t="s">
        <v>34</v>
      </c>
      <c r="E38" s="53" t="s">
        <v>51</v>
      </c>
      <c r="F38" s="53" t="s">
        <v>51</v>
      </c>
      <c r="G38" s="53" t="s">
        <v>51</v>
      </c>
      <c r="H38" s="53" t="s">
        <v>51</v>
      </c>
      <c r="I38" s="53" t="s">
        <v>51</v>
      </c>
      <c r="J38" s="53" t="s">
        <v>51</v>
      </c>
      <c r="K38" s="54" t="s">
        <v>72</v>
      </c>
      <c r="L38" s="54" t="s">
        <v>72</v>
      </c>
      <c r="M38" s="54" t="s">
        <v>72</v>
      </c>
    </row>
    <row r="39" spans="1:13" s="48" customFormat="1" ht="25.15" customHeight="1" x14ac:dyDescent="0.25">
      <c r="A39" s="24" t="s">
        <v>73</v>
      </c>
      <c r="B39" s="93" t="s">
        <v>35</v>
      </c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</row>
    <row r="40" spans="1:13" s="19" customFormat="1" ht="211.15" customHeight="1" x14ac:dyDescent="0.25">
      <c r="A40" s="18" t="s">
        <v>85</v>
      </c>
      <c r="B40" s="55"/>
      <c r="C40" s="56" t="s">
        <v>36</v>
      </c>
      <c r="D40" s="57" t="s">
        <v>37</v>
      </c>
      <c r="E40" s="57" t="s">
        <v>51</v>
      </c>
      <c r="F40" s="57" t="s">
        <v>95</v>
      </c>
      <c r="G40" s="57" t="s">
        <v>95</v>
      </c>
      <c r="H40" s="57" t="s">
        <v>95</v>
      </c>
      <c r="I40" s="57" t="s">
        <v>95</v>
      </c>
      <c r="J40" s="57" t="s">
        <v>95</v>
      </c>
      <c r="K40" s="57" t="s">
        <v>95</v>
      </c>
      <c r="L40" s="57" t="s">
        <v>96</v>
      </c>
      <c r="M40" s="57" t="s">
        <v>96</v>
      </c>
    </row>
    <row r="41" spans="1:13" s="19" customFormat="1" ht="30" customHeight="1" x14ac:dyDescent="0.25">
      <c r="A41" s="109" t="s">
        <v>38</v>
      </c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1"/>
    </row>
    <row r="42" spans="1:13" s="19" customFormat="1" ht="45" x14ac:dyDescent="0.25">
      <c r="A42" s="100"/>
      <c r="B42" s="112" t="s">
        <v>39</v>
      </c>
      <c r="C42" s="20" t="s">
        <v>75</v>
      </c>
      <c r="D42" s="29" t="s">
        <v>40</v>
      </c>
      <c r="E42" s="33">
        <f>140196/(537555-30000)</f>
        <v>0.2762183408694624</v>
      </c>
      <c r="F42" s="34">
        <f>SUM(106773/(569743-15363))</f>
        <v>0.19259893935567662</v>
      </c>
      <c r="G42" s="25">
        <f>89119/(557485-28200)</f>
        <v>0.16837620563590505</v>
      </c>
      <c r="H42" s="25">
        <f>136214/(604190-28120)</f>
        <v>0.23645390317148957</v>
      </c>
      <c r="I42" s="25">
        <f>137378/703989</f>
        <v>0.19514225364316773</v>
      </c>
      <c r="J42" s="26">
        <v>0.28999999999999998</v>
      </c>
      <c r="K42" s="26">
        <v>0.28000000000000003</v>
      </c>
      <c r="L42" s="26">
        <v>0.28999999999999998</v>
      </c>
      <c r="M42" s="26">
        <v>0.28999999999999998</v>
      </c>
    </row>
    <row r="43" spans="1:13" s="19" customFormat="1" ht="36" customHeight="1" x14ac:dyDescent="0.25">
      <c r="A43" s="101"/>
      <c r="B43" s="113"/>
      <c r="C43" s="20" t="s">
        <v>86</v>
      </c>
      <c r="D43" s="29" t="s">
        <v>40</v>
      </c>
      <c r="E43" s="30">
        <f>95151/(537555)</f>
        <v>0.17700700393448113</v>
      </c>
      <c r="F43" s="31">
        <f>189208/(569743)</f>
        <v>0.33209359307617647</v>
      </c>
      <c r="G43" s="32">
        <f>196586/(557485)</f>
        <v>0.35263011560849172</v>
      </c>
      <c r="H43" s="25">
        <f>190354/(604190)</f>
        <v>0.31505652195501416</v>
      </c>
      <c r="I43" s="25">
        <f>244203/703989</f>
        <v>0.3468846814367838</v>
      </c>
      <c r="J43" s="26">
        <v>0.36</v>
      </c>
      <c r="K43" s="26">
        <v>0.35</v>
      </c>
      <c r="L43" s="26">
        <v>0.36</v>
      </c>
      <c r="M43" s="26">
        <v>0.36</v>
      </c>
    </row>
    <row r="44" spans="1:13" s="19" customFormat="1" ht="54" customHeight="1" x14ac:dyDescent="0.25">
      <c r="A44" s="101"/>
      <c r="B44" s="113"/>
      <c r="C44" s="20" t="s">
        <v>97</v>
      </c>
      <c r="D44" s="29" t="s">
        <v>40</v>
      </c>
      <c r="E44" s="66">
        <v>3.31</v>
      </c>
      <c r="F44" s="66">
        <v>4.3899999999999997</v>
      </c>
      <c r="G44" s="67">
        <v>5.16</v>
      </c>
      <c r="H44" s="68">
        <v>2.88</v>
      </c>
      <c r="I44" s="68">
        <v>3.73</v>
      </c>
      <c r="J44" s="26">
        <f>525249/199667</f>
        <v>2.6306249906093644</v>
      </c>
      <c r="K44" s="25">
        <v>3.3</v>
      </c>
      <c r="L44" s="25">
        <v>3.3</v>
      </c>
      <c r="M44" s="25">
        <v>3.3</v>
      </c>
    </row>
    <row r="45" spans="1:13" s="19" customFormat="1" x14ac:dyDescent="0.25">
      <c r="A45" s="102"/>
      <c r="B45" s="114"/>
      <c r="C45" s="20" t="s">
        <v>76</v>
      </c>
      <c r="D45" s="2" t="s">
        <v>40</v>
      </c>
      <c r="E45" s="2">
        <v>2.06</v>
      </c>
      <c r="F45" s="4">
        <v>3.36</v>
      </c>
      <c r="G45" s="2">
        <v>5.22</v>
      </c>
      <c r="H45" s="2">
        <v>2.88</v>
      </c>
      <c r="I45" s="2">
        <v>2.2400000000000002</v>
      </c>
      <c r="J45" s="69">
        <v>1.1399999999999999</v>
      </c>
      <c r="K45" s="2" t="s">
        <v>77</v>
      </c>
      <c r="L45" s="2" t="s">
        <v>77</v>
      </c>
      <c r="M45" s="2" t="s">
        <v>77</v>
      </c>
    </row>
    <row r="46" spans="1:13" s="19" customFormat="1" ht="54" customHeight="1" x14ac:dyDescent="0.25">
      <c r="A46" s="100"/>
      <c r="B46" s="76" t="s">
        <v>74</v>
      </c>
      <c r="C46" s="20" t="s">
        <v>78</v>
      </c>
      <c r="D46" s="2" t="s">
        <v>40</v>
      </c>
      <c r="E46" s="2">
        <f>ROUND((105590/E25),2)</f>
        <v>6.58</v>
      </c>
      <c r="F46" s="4">
        <f>ROUND((193049/F25),2)</f>
        <v>17.489999999999998</v>
      </c>
      <c r="G46" s="2">
        <f>ROUND((162464/G25),2)</f>
        <v>21.39</v>
      </c>
      <c r="H46" s="2">
        <f>ROUND((256357/H25),2)</f>
        <v>22.64</v>
      </c>
      <c r="I46" s="2">
        <f>ROUND((309582/I25),2)</f>
        <v>24.35</v>
      </c>
      <c r="J46" s="2">
        <v>44</v>
      </c>
      <c r="K46" s="44"/>
      <c r="L46" s="44"/>
      <c r="M46" s="44"/>
    </row>
    <row r="47" spans="1:13" s="19" customFormat="1" ht="54" customHeight="1" x14ac:dyDescent="0.25">
      <c r="A47" s="101"/>
      <c r="B47" s="77"/>
      <c r="C47" s="20" t="s">
        <v>79</v>
      </c>
      <c r="D47" s="2" t="s">
        <v>40</v>
      </c>
      <c r="E47" s="2">
        <f>ROUND(((467976-4000)/E25),2)</f>
        <v>28.94</v>
      </c>
      <c r="F47" s="4">
        <f>ROUND((468366/F25),2)</f>
        <v>42.44</v>
      </c>
      <c r="G47" s="37">
        <f>(462970-3500)/G25</f>
        <v>60.488414955239598</v>
      </c>
      <c r="H47" s="37">
        <f>(397359-5233)/H25</f>
        <v>34.637046197332388</v>
      </c>
      <c r="I47" s="37">
        <f>(552444-40000)/I25</f>
        <v>40.308660426335244</v>
      </c>
      <c r="J47" s="2">
        <v>16</v>
      </c>
      <c r="K47" s="44"/>
      <c r="L47" s="44"/>
      <c r="M47" s="44"/>
    </row>
    <row r="48" spans="1:13" s="19" customFormat="1" ht="54" customHeight="1" x14ac:dyDescent="0.25">
      <c r="A48" s="101"/>
      <c r="B48" s="77"/>
      <c r="C48" s="20" t="s">
        <v>80</v>
      </c>
      <c r="D48" s="2" t="s">
        <v>40</v>
      </c>
      <c r="E48" s="2">
        <f>ROUND((140196/6),0)</f>
        <v>23366</v>
      </c>
      <c r="F48" s="4">
        <f>ROUND((106773/13),0)</f>
        <v>8213</v>
      </c>
      <c r="G48" s="2">
        <f>ROUND((89119/13),0)</f>
        <v>6855</v>
      </c>
      <c r="H48" s="2">
        <f>136214/13</f>
        <v>10478</v>
      </c>
      <c r="I48" s="38">
        <f>SUM((137378/13),0)</f>
        <v>10567.538461538461</v>
      </c>
      <c r="J48" s="2">
        <v>14214</v>
      </c>
      <c r="K48" s="44"/>
      <c r="L48" s="44"/>
      <c r="M48" s="44"/>
    </row>
    <row r="49" spans="1:13" s="61" customFormat="1" ht="18" customHeight="1" x14ac:dyDescent="0.25">
      <c r="A49" s="102"/>
      <c r="B49" s="78"/>
      <c r="C49" s="10" t="s">
        <v>112</v>
      </c>
      <c r="D49" s="4" t="s">
        <v>41</v>
      </c>
      <c r="E49" s="2">
        <f>51354+19690</f>
        <v>71044</v>
      </c>
      <c r="F49" s="61">
        <f>18509+46642</f>
        <v>65151</v>
      </c>
      <c r="G49" s="4">
        <f>26153+71705</f>
        <v>97858</v>
      </c>
      <c r="H49" s="2">
        <f>-31366+42350</f>
        <v>10984</v>
      </c>
      <c r="I49" s="2">
        <f>-88613+71969</f>
        <v>-16644</v>
      </c>
      <c r="J49" s="69">
        <f>-15166+29005</f>
        <v>13839</v>
      </c>
      <c r="K49" s="44"/>
      <c r="L49" s="44"/>
      <c r="M49" s="44"/>
    </row>
    <row r="50" spans="1:13" s="19" customFormat="1" ht="30" customHeight="1" x14ac:dyDescent="0.25">
      <c r="A50" s="94" t="s">
        <v>102</v>
      </c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6"/>
    </row>
    <row r="51" spans="1:13" s="19" customFormat="1" ht="76.150000000000006" customHeight="1" x14ac:dyDescent="0.25">
      <c r="A51" s="10">
        <v>1</v>
      </c>
      <c r="B51" s="62" t="s">
        <v>103</v>
      </c>
      <c r="C51" s="63" t="s">
        <v>104</v>
      </c>
      <c r="D51" s="4" t="s">
        <v>42</v>
      </c>
      <c r="E51" s="41" t="s">
        <v>98</v>
      </c>
      <c r="F51" s="41" t="s">
        <v>98</v>
      </c>
      <c r="G51" s="41" t="s">
        <v>98</v>
      </c>
      <c r="H51" s="41" t="s">
        <v>98</v>
      </c>
      <c r="I51" s="41" t="s">
        <v>98</v>
      </c>
      <c r="J51" s="41" t="s">
        <v>98</v>
      </c>
      <c r="K51" s="41" t="s">
        <v>98</v>
      </c>
      <c r="L51" s="4" t="s">
        <v>72</v>
      </c>
      <c r="M51" s="4" t="s">
        <v>72</v>
      </c>
    </row>
    <row r="52" spans="1:13" s="19" customFormat="1" ht="18" customHeight="1" x14ac:dyDescent="0.25">
      <c r="A52" s="10">
        <v>2</v>
      </c>
      <c r="B52" s="10" t="s">
        <v>81</v>
      </c>
      <c r="C52" s="70"/>
      <c r="D52" s="71"/>
      <c r="E52" s="71"/>
      <c r="F52" s="71"/>
      <c r="G52" s="71"/>
      <c r="H52" s="71"/>
      <c r="I52" s="71"/>
      <c r="J52" s="71"/>
      <c r="K52" s="71"/>
      <c r="L52" s="71"/>
      <c r="M52" s="72"/>
    </row>
    <row r="53" spans="1:13" s="19" customFormat="1" ht="36" customHeight="1" x14ac:dyDescent="0.25">
      <c r="A53" s="18" t="s">
        <v>57</v>
      </c>
      <c r="B53" s="1"/>
      <c r="C53" s="1" t="s">
        <v>43</v>
      </c>
      <c r="D53" s="11" t="s">
        <v>42</v>
      </c>
      <c r="E53" s="11" t="s">
        <v>98</v>
      </c>
      <c r="F53" s="11" t="s">
        <v>98</v>
      </c>
      <c r="G53" s="11" t="s">
        <v>98</v>
      </c>
      <c r="H53" s="11" t="s">
        <v>98</v>
      </c>
      <c r="I53" s="11" t="s">
        <v>98</v>
      </c>
      <c r="J53" s="11" t="s">
        <v>98</v>
      </c>
      <c r="K53" s="4" t="s">
        <v>72</v>
      </c>
      <c r="L53" s="4" t="s">
        <v>72</v>
      </c>
      <c r="M53" s="4" t="s">
        <v>72</v>
      </c>
    </row>
    <row r="54" spans="1:13" s="19" customFormat="1" ht="54" customHeight="1" x14ac:dyDescent="0.25">
      <c r="A54" s="18" t="s">
        <v>58</v>
      </c>
      <c r="B54" s="1"/>
      <c r="C54" s="8" t="s">
        <v>44</v>
      </c>
      <c r="D54" s="11" t="s">
        <v>45</v>
      </c>
      <c r="E54" s="11" t="s">
        <v>98</v>
      </c>
      <c r="F54" s="11" t="s">
        <v>98</v>
      </c>
      <c r="G54" s="11" t="s">
        <v>98</v>
      </c>
      <c r="H54" s="11" t="s">
        <v>98</v>
      </c>
      <c r="I54" s="11" t="s">
        <v>98</v>
      </c>
      <c r="J54" s="11" t="s">
        <v>98</v>
      </c>
      <c r="K54" s="4" t="s">
        <v>72</v>
      </c>
      <c r="L54" s="4" t="s">
        <v>72</v>
      </c>
      <c r="M54" s="4" t="s">
        <v>72</v>
      </c>
    </row>
    <row r="55" spans="1:13" s="19" customFormat="1" ht="195" x14ac:dyDescent="0.25">
      <c r="A55" s="10">
        <v>3</v>
      </c>
      <c r="B55" s="16" t="s">
        <v>87</v>
      </c>
      <c r="C55" s="1" t="s">
        <v>46</v>
      </c>
      <c r="D55" s="4" t="s">
        <v>82</v>
      </c>
      <c r="E55" s="2" t="s">
        <v>51</v>
      </c>
      <c r="F55" s="2" t="s">
        <v>51</v>
      </c>
      <c r="G55" s="2" t="s">
        <v>51</v>
      </c>
      <c r="H55" s="2" t="s">
        <v>51</v>
      </c>
      <c r="I55" s="14">
        <v>1</v>
      </c>
      <c r="J55" s="14">
        <v>0.95</v>
      </c>
      <c r="K55" s="14">
        <v>0.95</v>
      </c>
      <c r="L55" s="14">
        <v>0.95</v>
      </c>
      <c r="M55" s="14">
        <v>0.95</v>
      </c>
    </row>
    <row r="56" spans="1:13" s="19" customFormat="1" ht="75" x14ac:dyDescent="0.25">
      <c r="A56" s="10">
        <v>4</v>
      </c>
      <c r="B56" s="16" t="s">
        <v>83</v>
      </c>
      <c r="C56" s="10" t="s">
        <v>84</v>
      </c>
      <c r="D56" s="2" t="s">
        <v>42</v>
      </c>
      <c r="E56" s="2" t="s">
        <v>98</v>
      </c>
      <c r="F56" s="2" t="s">
        <v>98</v>
      </c>
      <c r="G56" s="2" t="s">
        <v>98</v>
      </c>
      <c r="H56" s="2" t="s">
        <v>98</v>
      </c>
      <c r="I56" s="2" t="s">
        <v>98</v>
      </c>
      <c r="J56" s="4" t="s">
        <v>72</v>
      </c>
      <c r="K56" s="4" t="s">
        <v>72</v>
      </c>
      <c r="L56" s="4" t="s">
        <v>72</v>
      </c>
      <c r="M56" s="4" t="s">
        <v>72</v>
      </c>
    </row>
  </sheetData>
  <mergeCells count="23">
    <mergeCell ref="A2:M2"/>
    <mergeCell ref="A41:M41"/>
    <mergeCell ref="A42:A45"/>
    <mergeCell ref="B42:B45"/>
    <mergeCell ref="B28:B29"/>
    <mergeCell ref="A16:B17"/>
    <mergeCell ref="A23:B25"/>
    <mergeCell ref="C52:M52"/>
    <mergeCell ref="B3:B7"/>
    <mergeCell ref="B46:B49"/>
    <mergeCell ref="A8:M8"/>
    <mergeCell ref="B33:B38"/>
    <mergeCell ref="B9:M9"/>
    <mergeCell ref="B14:M14"/>
    <mergeCell ref="B27:M27"/>
    <mergeCell ref="B30:M30"/>
    <mergeCell ref="B32:M32"/>
    <mergeCell ref="B39:M39"/>
    <mergeCell ref="A50:M50"/>
    <mergeCell ref="B10:B13"/>
    <mergeCell ref="A46:A49"/>
    <mergeCell ref="D18:M18"/>
    <mergeCell ref="D15:M15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E336399F1DEF48AB901E64AE16DB78" ma:contentTypeVersion="20" ma:contentTypeDescription="Create a new document." ma:contentTypeScope="" ma:versionID="0e1eb64249df1b61c107c350ff1ac241">
  <xsd:schema xmlns:xsd="http://www.w3.org/2001/XMLSchema" xmlns:xs="http://www.w3.org/2001/XMLSchema" xmlns:p="http://schemas.microsoft.com/office/2006/metadata/properties" xmlns:ns1="http://schemas.microsoft.com/sharepoint/v3" xmlns:ns2="4c65fb32-5c51-4412-9ae5-03ee449ba0c7" xmlns:ns3="ee69911b-bc44-4822-bdab-cca3d7dac7d5" targetNamespace="http://schemas.microsoft.com/office/2006/metadata/properties" ma:root="true" ma:fieldsID="3919e644798120c15a823db63ab67bdb" ns1:_="" ns2:_="" ns3:_="">
    <xsd:import namespace="http://schemas.microsoft.com/sharepoint/v3"/>
    <xsd:import namespace="4c65fb32-5c51-4412-9ae5-03ee449ba0c7"/>
    <xsd:import namespace="ee69911b-bc44-4822-bdab-cca3d7dac7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65fb32-5c51-4412-9ae5-03ee449ba0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8776a30-dc0b-49a2-aa1e-c2fe56b337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69911b-bc44-4822-bdab-cca3d7dac7d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956819d-2ce4-491e-b77b-2f0ff44a8ae2}" ma:internalName="TaxCatchAll" ma:showField="CatchAllData" ma:web="ee69911b-bc44-4822-bdab-cca3d7dac7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4c65fb32-5c51-4412-9ae5-03ee449ba0c7">
      <Terms xmlns="http://schemas.microsoft.com/office/infopath/2007/PartnerControls"/>
    </lcf76f155ced4ddcb4097134ff3c332f>
    <TaxCatchAll xmlns="ee69911b-bc44-4822-bdab-cca3d7dac7d5" xsi:nil="true"/>
  </documentManagement>
</p:properties>
</file>

<file path=customXml/itemProps1.xml><?xml version="1.0" encoding="utf-8"?>
<ds:datastoreItem xmlns:ds="http://schemas.openxmlformats.org/officeDocument/2006/customXml" ds:itemID="{763EB49F-34CD-48F5-BA1F-666001FD05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F64850-8934-4EA0-9E4F-F9DC212737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c65fb32-5c51-4412-9ae5-03ee449ba0c7"/>
    <ds:schemaRef ds:uri="ee69911b-bc44-4822-bdab-cca3d7dac7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44A0F0E-A435-4A76-BB8E-057569FDC10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4c65fb32-5c51-4412-9ae5-03ee449ba0c7"/>
    <ds:schemaRef ds:uri="ee69911b-bc44-4822-bdab-cca3d7dac7d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Kuressaare Teater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 Kaunissaare</dc:creator>
  <cp:keywords/>
  <dc:description/>
  <cp:lastModifiedBy>Marie Anett Heinsalu</cp:lastModifiedBy>
  <cp:revision/>
  <dcterms:created xsi:type="dcterms:W3CDTF">2024-02-16T14:09:15Z</dcterms:created>
  <dcterms:modified xsi:type="dcterms:W3CDTF">2025-06-05T09:41:55Z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0x01010089E336399F1DEF48AB901E64AE16DB78</vt:lpwstr>
  </property>
  <property fmtid="{D5CDD505-2E9C-101B-9397-08002B2CF9AE}" pid="3" name="MediaServiceImageTags">
    <vt:lpwstr/>
  </property>
</Properties>
</file>